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8520" activeTab="0"/>
  </bookViews>
  <sheets>
    <sheet name="Pension Calculator" sheetId="1" r:id="rId1"/>
    <sheet name="Commutation Tab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<sst xmlns="http://schemas.openxmlformats.org/spreadsheetml/2006/main" count="47" uniqueCount="43">
  <si>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Death of Employee/Pensioner</t>
  </si>
  <si>
    <t>Gross Pension</t>
  </si>
  <si>
    <t>Min. pension</t>
  </si>
  <si>
    <t>Share %age</t>
  </si>
  <si>
    <t>Medical Allowance</t>
  </si>
  <si>
    <t>Net Pension</t>
  </si>
  <si>
    <t>Qualifying Service</t>
  </si>
  <si>
    <t>Date of Birth</t>
  </si>
  <si>
    <t>Date of Retirement</t>
  </si>
  <si>
    <t>7% Cost of Living Allowance</t>
  </si>
  <si>
    <t>Adhoc Relief Rs. 300</t>
  </si>
  <si>
    <t>Adhoc Relief Rs. 100</t>
  </si>
  <si>
    <t>Extra Service Benefit</t>
  </si>
  <si>
    <t>TOTAL MONTHLY PENSION (01.07.2014)</t>
  </si>
  <si>
    <t>Detailed Pension Calculation</t>
  </si>
  <si>
    <t>Summarized Calculation</t>
  </si>
  <si>
    <t>Increases (up to 7/2014)</t>
  </si>
  <si>
    <t>Total Monthly Pension</t>
  </si>
  <si>
    <t>BPS / Grade</t>
  </si>
  <si>
    <t>w.e.f</t>
  </si>
  <si>
    <t>Age Next Birthday</t>
  </si>
  <si>
    <t>No. of Years Purchased</t>
  </si>
  <si>
    <t>Commutation Table Value</t>
  </si>
  <si>
    <t>Commutation / Gratuity</t>
  </si>
  <si>
    <t>Commuted / 1/4th Surrendered portion</t>
  </si>
  <si>
    <t>Restoration</t>
  </si>
  <si>
    <t>Date of Restoration</t>
  </si>
  <si>
    <t>Basic pay (Last Drawn Pay)</t>
  </si>
  <si>
    <t>Self Explanatory</t>
  </si>
  <si>
    <t>Enter Rounded off digit for your total length of service e.g 25 years 7 months would be entered as 26</t>
  </si>
  <si>
    <t>Enter Date of Retirement in correct format i.e. mm/dd/yy or the calculator will not give correct result</t>
  </si>
  <si>
    <t xml:space="preserve">Enter Date of Birth In the format mm/dd/yy </t>
  </si>
  <si>
    <t>Province</t>
  </si>
  <si>
    <t>Instructions for filling up data in cells C5 to C12</t>
  </si>
  <si>
    <t>Enter data in cells C5 to C12 (Cells with orange background Colour) and your pension along with all increases will be calculated automatically</t>
  </si>
  <si>
    <t>Write "F" for Feferal, "S" for Sindh, "B" for Balochistan, "P" for Punjab and "K" for KPK</t>
  </si>
  <si>
    <t>S</t>
  </si>
  <si>
    <t>S Explanatory - Enter your last drawn Basic pay here</t>
  </si>
  <si>
    <t>(Self /Family)</t>
  </si>
  <si>
    <t>Write "S" for Self and "F" for Family Pension</t>
  </si>
  <si>
    <t>B</t>
  </si>
  <si>
    <t>Only for Family Pensioners: In case the govt. servant died whlie in service write "E" here, also enter "E" in case date of restoration is before 01.12.2001</t>
  </si>
  <si>
    <t>Designed by Maria Zain for         www.glxspace.com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</si>
</sst>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;@"/>
    <numFmt numFmtId="165" formatCode="dd\.mm\.yyyy;@"/>
    <numFmt numFmtId="166" formatCode="0.0%"/>
    <numFmt numFmtId="167" formatCode="0.0000"/>
  </numFmts>
  <fonts count="28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sz val="22"/>
      <color indexed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18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7" fillId="24" borderId="0" xfId="0" applyFont="1" applyFill="1" applyAlignment="1">
      <alignment horizontal="center" wrapText="1"/>
    </xf>
    <xf numFmtId="0" fontId="4" fillId="0" borderId="11" xfId="0" applyFont="1" applyBorder="1" applyAlignment="1" applyProtection="1">
      <alignment horizontal="left"/>
      <protection locked="0"/>
    </xf>
    <xf numFmtId="0" fontId="7" fillId="19" borderId="11" xfId="54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left"/>
      <protection locked="0"/>
    </xf>
    <xf numFmtId="0" fontId="7" fillId="19" borderId="11" xfId="54" applyFill="1" applyBorder="1" applyAlignment="1" applyProtection="1">
      <alignment horizontal="right"/>
      <protection locked="0"/>
    </xf>
    <xf numFmtId="164" fontId="1" fillId="0" borderId="11" xfId="0" applyNumberFormat="1" applyFont="1" applyFill="1" applyBorder="1" applyAlignment="1" applyProtection="1">
      <alignment horizontal="left" vertical="top"/>
      <protection locked="0"/>
    </xf>
    <xf numFmtId="0" fontId="7" fillId="19" borderId="11" xfId="54" applyFill="1" applyBorder="1" applyAlignment="1" applyProtection="1">
      <alignment/>
      <protection locked="0"/>
    </xf>
    <xf numFmtId="165" fontId="1" fillId="0" borderId="11" xfId="0" applyNumberFormat="1" applyFont="1" applyFill="1" applyBorder="1" applyAlignment="1" applyProtection="1">
      <alignment horizontal="left" vertical="top"/>
      <protection locked="0"/>
    </xf>
    <xf numFmtId="0" fontId="7" fillId="19" borderId="11" xfId="54" applyNumberFormat="1" applyFill="1" applyBorder="1" applyAlignment="1" applyProtection="1">
      <alignment/>
      <protection locked="0"/>
    </xf>
    <xf numFmtId="14" fontId="7" fillId="19" borderId="11" xfId="54" applyNumberFormat="1" applyFill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left" vertical="top"/>
      <protection locked="0"/>
    </xf>
    <xf numFmtId="0" fontId="7" fillId="7" borderId="11" xfId="54" applyBorder="1" applyAlignment="1" applyProtection="1">
      <alignment/>
      <protection locked="0"/>
    </xf>
    <xf numFmtId="0" fontId="4" fillId="25" borderId="11" xfId="0" applyFont="1" applyFill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Border="1" applyAlignment="1" applyProtection="1">
      <alignment horizontal="left" vertical="top"/>
      <protection locked="0"/>
    </xf>
    <xf numFmtId="165" fontId="26" fillId="26" borderId="1" xfId="40" applyNumberFormat="1" applyFont="1" applyFill="1" applyAlignment="1" applyProtection="1">
      <alignment/>
      <protection locked="0"/>
    </xf>
    <xf numFmtId="9" fontId="1" fillId="0" borderId="11" xfId="59" applyNumberFormat="1" applyFont="1" applyBorder="1" applyAlignment="1" applyProtection="1">
      <alignment horizontal="left" vertical="top"/>
      <protection locked="0"/>
    </xf>
    <xf numFmtId="1" fontId="26" fillId="26" borderId="11" xfId="40" applyNumberFormat="1" applyFont="1" applyFill="1" applyBorder="1" applyAlignment="1" applyProtection="1">
      <alignment vertical="top"/>
      <protection locked="0"/>
    </xf>
    <xf numFmtId="164" fontId="1" fillId="0" borderId="11" xfId="0" applyNumberFormat="1" applyFont="1" applyBorder="1" applyAlignment="1" applyProtection="1">
      <alignment horizontal="left" vertical="top"/>
      <protection locked="0"/>
    </xf>
    <xf numFmtId="167" fontId="26" fillId="26" borderId="11" xfId="40" applyNumberFormat="1" applyFont="1" applyFill="1" applyBorder="1" applyAlignment="1" applyProtection="1">
      <alignment vertical="top"/>
      <protection locked="0"/>
    </xf>
    <xf numFmtId="164" fontId="1" fillId="0" borderId="12" xfId="0" applyNumberFormat="1" applyFont="1" applyBorder="1" applyAlignment="1" applyProtection="1">
      <alignment horizontal="left" vertical="top"/>
      <protection locked="0"/>
    </xf>
    <xf numFmtId="164" fontId="1" fillId="0" borderId="13" xfId="0" applyNumberFormat="1" applyFont="1" applyBorder="1" applyAlignment="1" applyProtection="1">
      <alignment horizontal="left" vertical="top"/>
      <protection locked="0"/>
    </xf>
    <xf numFmtId="4" fontId="26" fillId="26" borderId="11" xfId="40" applyNumberFormat="1" applyFont="1" applyFill="1" applyBorder="1" applyAlignment="1" applyProtection="1">
      <alignment vertical="top"/>
      <protection locked="0"/>
    </xf>
    <xf numFmtId="165" fontId="1" fillId="0" borderId="11" xfId="0" applyNumberFormat="1" applyFont="1" applyBorder="1" applyAlignment="1" applyProtection="1">
      <alignment horizontal="left" vertical="top"/>
      <protection locked="0"/>
    </xf>
    <xf numFmtId="9" fontId="3" fillId="20" borderId="14" xfId="40" applyNumberFormat="1" applyBorder="1" applyAlignment="1" applyProtection="1">
      <alignment horizontal="left" vertical="top"/>
      <protection locked="0"/>
    </xf>
    <xf numFmtId="0" fontId="26" fillId="26" borderId="1" xfId="40" applyFont="1" applyFill="1" applyAlignment="1" applyProtection="1">
      <alignment/>
      <protection locked="0"/>
    </xf>
    <xf numFmtId="165" fontId="1" fillId="0" borderId="11" xfId="0" applyNumberFormat="1" applyFont="1" applyBorder="1" applyAlignment="1" applyProtection="1">
      <alignment horizontal="left"/>
      <protection locked="0"/>
    </xf>
    <xf numFmtId="9" fontId="3" fillId="20" borderId="14" xfId="40" applyNumberFormat="1" applyBorder="1" applyAlignment="1" applyProtection="1">
      <alignment horizontal="center"/>
      <protection locked="0"/>
    </xf>
    <xf numFmtId="166" fontId="3" fillId="20" borderId="14" xfId="40" applyNumberFormat="1" applyBorder="1" applyAlignment="1" applyProtection="1">
      <alignment horizontal="center"/>
      <protection locked="0"/>
    </xf>
    <xf numFmtId="0" fontId="26" fillId="26" borderId="1" xfId="40" applyNumberFormat="1" applyFont="1" applyFill="1" applyAlignment="1" applyProtection="1">
      <alignment/>
      <protection locked="0"/>
    </xf>
    <xf numFmtId="2" fontId="26" fillId="26" borderId="1" xfId="40" applyNumberFormat="1" applyFont="1" applyFill="1" applyAlignment="1" applyProtection="1">
      <alignment/>
      <protection locked="0"/>
    </xf>
    <xf numFmtId="2" fontId="3" fillId="20" borderId="1" xfId="40" applyNumberFormat="1" applyAlignment="1" applyProtection="1">
      <alignment/>
      <protection locked="0"/>
    </xf>
    <xf numFmtId="0" fontId="3" fillId="20" borderId="1" xfId="40" applyNumberFormat="1" applyAlignment="1" applyProtection="1">
      <alignment/>
      <protection locked="0"/>
    </xf>
    <xf numFmtId="0" fontId="4" fillId="25" borderId="11" xfId="0" applyNumberFormat="1" applyFont="1" applyFill="1" applyBorder="1" applyAlignment="1" applyProtection="1">
      <alignment horizontal="left"/>
      <protection locked="0"/>
    </xf>
    <xf numFmtId="1" fontId="8" fillId="25" borderId="11" xfId="0" applyNumberFormat="1" applyFont="1" applyFill="1" applyBorder="1" applyAlignment="1" applyProtection="1">
      <alignment/>
      <protection locked="0"/>
    </xf>
    <xf numFmtId="0" fontId="4" fillId="25" borderId="15" xfId="0" applyNumberFormat="1" applyFont="1" applyFill="1" applyBorder="1" applyAlignment="1" applyProtection="1">
      <alignment horizontal="left" wrapText="1"/>
      <protection locked="0"/>
    </xf>
    <xf numFmtId="0" fontId="4" fillId="25" borderId="16" xfId="0" applyNumberFormat="1" applyFont="1" applyFill="1" applyBorder="1" applyAlignment="1" applyProtection="1">
      <alignment horizontal="left" wrapText="1"/>
      <protection locked="0"/>
    </xf>
    <xf numFmtId="0" fontId="4" fillId="25" borderId="17" xfId="0" applyNumberFormat="1" applyFont="1" applyFill="1" applyBorder="1" applyAlignment="1" applyProtection="1">
      <alignment horizontal="left" wrapText="1"/>
      <protection locked="0"/>
    </xf>
    <xf numFmtId="0" fontId="4" fillId="25" borderId="18" xfId="0" applyNumberFormat="1" applyFont="1" applyFill="1" applyBorder="1" applyAlignment="1" applyProtection="1">
      <alignment horizontal="left" wrapText="1"/>
      <protection locked="0"/>
    </xf>
    <xf numFmtId="0" fontId="4" fillId="25" borderId="0" xfId="0" applyNumberFormat="1" applyFont="1" applyFill="1" applyBorder="1" applyAlignment="1" applyProtection="1">
      <alignment horizontal="left" wrapText="1"/>
      <protection locked="0"/>
    </xf>
    <xf numFmtId="0" fontId="4" fillId="25" borderId="19" xfId="0" applyNumberFormat="1" applyFont="1" applyFill="1" applyBorder="1" applyAlignment="1" applyProtection="1">
      <alignment horizontal="left" wrapText="1"/>
      <protection locked="0"/>
    </xf>
    <xf numFmtId="0" fontId="4" fillId="25" borderId="20" xfId="0" applyNumberFormat="1" applyFont="1" applyFill="1" applyBorder="1" applyAlignment="1" applyProtection="1">
      <alignment horizontal="left" wrapText="1"/>
      <protection locked="0"/>
    </xf>
    <xf numFmtId="0" fontId="4" fillId="25" borderId="21" xfId="0" applyNumberFormat="1" applyFont="1" applyFill="1" applyBorder="1" applyAlignment="1" applyProtection="1">
      <alignment horizontal="left" wrapText="1"/>
      <protection locked="0"/>
    </xf>
    <xf numFmtId="0" fontId="4" fillId="25" borderId="22" xfId="0" applyNumberFormat="1" applyFont="1" applyFill="1" applyBorder="1" applyAlignment="1" applyProtection="1">
      <alignment horizontal="left" wrapText="1"/>
      <protection locked="0"/>
    </xf>
    <xf numFmtId="0" fontId="4" fillId="2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25" borderId="12" xfId="0" applyFont="1" applyFill="1" applyBorder="1" applyAlignment="1" applyProtection="1">
      <alignment/>
      <protection locked="0"/>
    </xf>
    <xf numFmtId="0" fontId="4" fillId="25" borderId="13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87"/>
  <sheetViews>
    <sheetView tabSelected="1" zoomScalePageLayoutView="0" workbookViewId="0" topLeftCell="A30">
      <selection activeCell="E71" sqref="E71"/>
    </sheetView>
  </sheetViews>
  <sheetFormatPr defaultColWidth="9.140625" defaultRowHeight="15"/>
  <cols>
    <col min="1" max="1" width="22.00390625" style="0" customWidth="1"/>
    <col min="2" max="2" width="14.28125" style="0" customWidth="1"/>
    <col min="3" max="3" width="10.7109375" style="0" bestFit="1" customWidth="1"/>
    <col min="5" max="5" width="22.421875" style="0" bestFit="1" customWidth="1"/>
    <col min="6" max="6" width="22.7109375" style="0" bestFit="1" customWidth="1"/>
    <col min="8" max="8" width="22.7109375" style="0" bestFit="1" customWidth="1"/>
    <col min="9" max="9" width="3.57421875" style="0" customWidth="1"/>
    <col min="10" max="10" width="22.7109375" style="0" bestFit="1" customWidth="1"/>
  </cols>
  <sheetData>
    <row r="1" spans="1:11" ht="15">
      <c r="A1" s="48" t="s">
        <v>34</v>
      </c>
      <c r="B1" s="49"/>
      <c r="C1" s="50"/>
      <c r="J1" s="60" t="s">
        <v>15</v>
      </c>
      <c r="K1" s="61"/>
    </row>
    <row r="2" spans="1:11" ht="15">
      <c r="A2" s="51"/>
      <c r="B2" s="52"/>
      <c r="C2" s="53"/>
      <c r="J2" s="62" t="s">
        <v>5</v>
      </c>
      <c r="K2" s="63">
        <f>C23</f>
        <v>515.6666666666667</v>
      </c>
    </row>
    <row r="3" spans="1:11" ht="15">
      <c r="A3" s="54"/>
      <c r="B3" s="55"/>
      <c r="C3" s="56"/>
      <c r="J3" s="62" t="s">
        <v>16</v>
      </c>
      <c r="K3" s="63">
        <f>SUM(C24:C58,C60:C70)</f>
        <v>15015.391000000003</v>
      </c>
    </row>
    <row r="4" spans="1:11" ht="15">
      <c r="A4" s="10"/>
      <c r="B4" s="10"/>
      <c r="C4" s="10"/>
      <c r="D4" s="57" t="s">
        <v>33</v>
      </c>
      <c r="E4" s="57"/>
      <c r="F4" s="57"/>
      <c r="G4" s="57"/>
      <c r="H4" s="57"/>
      <c r="I4" s="57"/>
      <c r="J4" s="62" t="s">
        <v>4</v>
      </c>
      <c r="K4" s="63">
        <f>C59</f>
        <v>2131.51</v>
      </c>
    </row>
    <row r="5" spans="1:11" ht="15">
      <c r="A5" s="14" t="s">
        <v>32</v>
      </c>
      <c r="B5" s="14"/>
      <c r="C5" s="15" t="s">
        <v>40</v>
      </c>
      <c r="D5" s="58" t="s">
        <v>35</v>
      </c>
      <c r="E5" s="58"/>
      <c r="F5" s="58"/>
      <c r="G5" s="58"/>
      <c r="H5" s="58"/>
      <c r="I5" s="58"/>
      <c r="J5" s="62"/>
      <c r="K5" s="63"/>
    </row>
    <row r="6" spans="1:11" ht="15">
      <c r="A6" s="16" t="s">
        <v>18</v>
      </c>
      <c r="B6" s="16"/>
      <c r="C6" s="17">
        <v>10</v>
      </c>
      <c r="D6" s="59" t="s">
        <v>28</v>
      </c>
      <c r="E6" s="59"/>
      <c r="F6" s="59"/>
      <c r="G6" s="59"/>
      <c r="H6" s="58"/>
      <c r="I6" s="58"/>
      <c r="J6" s="62" t="s">
        <v>17</v>
      </c>
      <c r="K6" s="64">
        <f>SUM(K2:K4)</f>
        <v>17662.56766666667</v>
      </c>
    </row>
    <row r="7" spans="1:11" ht="15">
      <c r="A7" s="18" t="s">
        <v>38</v>
      </c>
      <c r="B7" s="18"/>
      <c r="C7" s="15" t="s">
        <v>36</v>
      </c>
      <c r="D7" s="59" t="s">
        <v>39</v>
      </c>
      <c r="E7" s="59"/>
      <c r="F7" s="59"/>
      <c r="G7" s="59"/>
      <c r="H7" s="58"/>
      <c r="I7" s="58"/>
      <c r="J7" s="58"/>
      <c r="K7" s="58"/>
    </row>
    <row r="8" spans="1:11" ht="15">
      <c r="A8" s="18" t="s">
        <v>6</v>
      </c>
      <c r="B8" s="18"/>
      <c r="C8" s="19">
        <v>26</v>
      </c>
      <c r="D8" s="59" t="s">
        <v>29</v>
      </c>
      <c r="E8" s="59"/>
      <c r="F8" s="59"/>
      <c r="G8" s="59"/>
      <c r="H8" s="58"/>
      <c r="I8" s="58"/>
      <c r="J8" s="58"/>
      <c r="K8" s="58"/>
    </row>
    <row r="9" spans="1:11" ht="15">
      <c r="A9" s="20" t="s">
        <v>27</v>
      </c>
      <c r="B9" s="20"/>
      <c r="C9" s="21">
        <v>1700</v>
      </c>
      <c r="D9" s="59" t="s">
        <v>37</v>
      </c>
      <c r="E9" s="59"/>
      <c r="F9" s="59"/>
      <c r="G9" s="59"/>
      <c r="H9" s="58"/>
      <c r="I9" s="58"/>
      <c r="J9" s="58"/>
      <c r="K9" s="58"/>
    </row>
    <row r="10" spans="1:9" ht="15">
      <c r="A10" s="18" t="s">
        <v>7</v>
      </c>
      <c r="B10" s="18"/>
      <c r="C10" s="22">
        <v>11303</v>
      </c>
      <c r="D10" s="59" t="s">
        <v>31</v>
      </c>
      <c r="E10" s="59"/>
      <c r="F10" s="59"/>
      <c r="G10" s="59"/>
      <c r="H10" s="58"/>
      <c r="I10" s="58"/>
    </row>
    <row r="11" spans="1:9" ht="15">
      <c r="A11" s="20" t="s">
        <v>8</v>
      </c>
      <c r="B11" s="20"/>
      <c r="C11" s="22">
        <v>31721</v>
      </c>
      <c r="D11" s="59" t="s">
        <v>30</v>
      </c>
      <c r="E11" s="59"/>
      <c r="F11" s="59"/>
      <c r="G11" s="59"/>
      <c r="H11" s="58"/>
      <c r="I11" s="58"/>
    </row>
    <row r="12" spans="1:9" ht="15">
      <c r="A12" s="18" t="s">
        <v>0</v>
      </c>
      <c r="B12" s="18"/>
      <c r="C12" s="15"/>
      <c r="D12" s="59" t="s">
        <v>41</v>
      </c>
      <c r="E12" s="59"/>
      <c r="F12" s="59"/>
      <c r="G12" s="59"/>
      <c r="H12" s="58"/>
      <c r="I12" s="58"/>
    </row>
    <row r="13" spans="1:3" ht="15" hidden="1">
      <c r="A13" s="23" t="s">
        <v>3</v>
      </c>
      <c r="B13" s="23"/>
      <c r="C13" s="24"/>
    </row>
    <row r="14" spans="1:3" ht="15">
      <c r="A14" s="25" t="s">
        <v>14</v>
      </c>
      <c r="B14" s="25"/>
      <c r="C14" s="25"/>
    </row>
    <row r="15" spans="1:4" ht="15">
      <c r="A15" s="26" t="s">
        <v>26</v>
      </c>
      <c r="B15" s="27"/>
      <c r="C15" s="28">
        <f>IF(OR(C23=75%*C21,AND(C11&gt;DATE(2001,11,30),NOT(C5="P"))),"",DATE(YEAR(C11)+ROUND(C19,0),MONTH(C11),DAY(C11))+1)</f>
        <v>38297</v>
      </c>
      <c r="D15" s="11"/>
    </row>
    <row r="16" spans="1:4" ht="15" customHeight="1" hidden="1">
      <c r="A16" s="29" t="s">
        <v>9</v>
      </c>
      <c r="B16" s="29"/>
      <c r="C16" s="30">
        <f>ROUND(IF(AND(C11&gt;DATE(1995,5,31),C11&lt;DATE(2001,12,1)),C9*7%,0),0)</f>
        <v>0</v>
      </c>
      <c r="D16" s="11"/>
    </row>
    <row r="17" spans="1:4" ht="15" customHeight="1" hidden="1">
      <c r="A17" s="31" t="s">
        <v>11</v>
      </c>
      <c r="B17" s="31"/>
      <c r="C17" s="30">
        <f>IF(C6&lt;17,IF(AND(C11&gt;DATE(1999,12,31),C11&lt;DATE(2001,12,1)),100,0),0)</f>
        <v>0</v>
      </c>
      <c r="D17" s="11"/>
    </row>
    <row r="18" spans="1:4" ht="15" customHeight="1" hidden="1">
      <c r="A18" s="31" t="s">
        <v>10</v>
      </c>
      <c r="B18" s="31"/>
      <c r="C18" s="30">
        <f>IF(C6&lt;17,IF(AND(C11&gt;DATE(1997,2,28),C11&lt;DATE(2001,12,1)),300,0),0)</f>
        <v>0</v>
      </c>
      <c r="D18" s="11"/>
    </row>
    <row r="19" spans="1:5" ht="15" hidden="1">
      <c r="A19" s="31" t="s">
        <v>22</v>
      </c>
      <c r="B19" s="31"/>
      <c r="C19" s="32">
        <f>VLOOKUP(DATEDIF(C10,C11,"Y")+IF(DATEDIF(C10,C11,"YM")&gt;0,1,0),'Commutation Tables'!A3:D63,IF(C11&lt;DATE(1986,7,1),4,IF(AND(C11&lt;DATE(2001,12,1),C11&gt;DATE(1986,6,30)),3,2)))</f>
        <v>18.2002</v>
      </c>
      <c r="D19" s="11"/>
      <c r="E19" s="9"/>
    </row>
    <row r="20" spans="1:4" ht="15">
      <c r="A20" s="33" t="s">
        <v>23</v>
      </c>
      <c r="B20" s="34"/>
      <c r="C20" s="30">
        <f>ROUND(C22*12*C19,0)</f>
        <v>112623</v>
      </c>
      <c r="D20" s="11"/>
    </row>
    <row r="21" spans="1:4" ht="15">
      <c r="A21" s="18" t="s">
        <v>1</v>
      </c>
      <c r="B21" s="18"/>
      <c r="C21" s="35">
        <f>(IF(C8&gt;0,IF(C8&lt;30,SUM(C9,C16:C18)*(7/300)*C8,(SUM(C9,C16:C18)*(7/300)*30)+IF(C11&lt;DATE(2001,12,1),MIN((SUM(C9,C16:C18)*(7/300)*30)*2%*(C8-30),(SUM(C9,C16:C18)*(7/300)*30)*10%),0)),#REF!))*IF(AND(C11&gt;DATE(1993,6,30),C11&lt;DATE(1994,6,1)),88%,1)</f>
        <v>1031.3333333333335</v>
      </c>
      <c r="D21" s="11"/>
    </row>
    <row r="22" spans="1:6" ht="15">
      <c r="A22" s="18" t="s">
        <v>24</v>
      </c>
      <c r="B22" s="18"/>
      <c r="C22" s="35">
        <f>IF(C12="e",C21*25%,IF(C11&lt;DATE(2001,12,1),C21*50%,IF(AND(C11&lt;DATE(2005,7,1),C11&gt;DATE(2001,11,30)),C21*40%,C21*35%)))</f>
        <v>515.6666666666667</v>
      </c>
      <c r="D22" s="11"/>
      <c r="E22" s="13" t="s">
        <v>42</v>
      </c>
      <c r="F22" s="13"/>
    </row>
    <row r="23" spans="1:6" ht="15">
      <c r="A23" s="31" t="s">
        <v>5</v>
      </c>
      <c r="B23" s="31"/>
      <c r="C23" s="35">
        <f>(IF(C7="F",IF(C12="E",C21*75%,(C21-C22)*75%),C21-C22))*IF(C13&gt;0,C13,1)</f>
        <v>515.6666666666667</v>
      </c>
      <c r="D23" s="11"/>
      <c r="E23" s="13"/>
      <c r="F23" s="13"/>
    </row>
    <row r="24" spans="1:6" ht="15">
      <c r="A24" s="36">
        <v>29403</v>
      </c>
      <c r="B24" s="37"/>
      <c r="C24" s="38">
        <f>IF(AND(C11&lt;DATE(1985,7,1),C6&lt;11,C6&gt;0),40,IF(AND(C11&lt;DATE(1985,7,1),C6&lt;17,C6&gt;10),70,IF(AND(C11&lt;DATE(1985,7,1),C6&lt;19,C6&gt;16),100,IF(AND(C11&lt;DATE(1985,7,1),C6&lt;21,C6&gt;18),150,0))))</f>
        <v>0</v>
      </c>
      <c r="D24" s="11"/>
      <c r="E24" s="13"/>
      <c r="F24" s="13"/>
    </row>
    <row r="25" spans="1:6" ht="15">
      <c r="A25" s="39">
        <v>29768</v>
      </c>
      <c r="B25" s="40">
        <f>IF(C25=0,"",C25/IF($C$23=$C$21*75%,SUM($C$23,$C$24),IF($C$23=($C$21/2*75%),SUM(($C$21-$C$21/2),$C$24),IF($C$23=$C$21/2,SUM($C$21,$C$24)))))</f>
      </c>
      <c r="C25" s="38">
        <f>ROUND(IF(C11&lt;DATE(1983,1,1),SUM(IF(C7="F",IF(C12="",C21-C22,C23),C21),C24)*10%,0),2)</f>
        <v>0</v>
      </c>
      <c r="D25" s="11"/>
      <c r="E25" s="13"/>
      <c r="F25" s="13"/>
    </row>
    <row r="26" spans="1:6" ht="15">
      <c r="A26" s="39">
        <v>30133</v>
      </c>
      <c r="B26" s="40">
        <f>IF(C26=0,"",C26/IF($C$23=$C$21*75%,SUM($C$23,$C$24:C25),IF($C$23=($C$21/2*75%),SUM(($C$21-$C$21/2),$C$24:C25),IF($C$23=$C$21/2,SUM($C$21,$C$24:C25)))))</f>
      </c>
      <c r="C26" s="38">
        <f>ROUND(IF(C11&lt;DATE(1983,7,1),SUM(IF(C7="F",IF(C12="",C21-C22,C23),C21),C24:C25)*10%,0),2)</f>
        <v>0</v>
      </c>
      <c r="D26" s="11"/>
      <c r="E26" s="13"/>
      <c r="F26" s="13"/>
    </row>
    <row r="27" spans="1:6" ht="15">
      <c r="A27" s="39">
        <v>30498</v>
      </c>
      <c r="B27" s="40">
        <f>IF(C27=0,"",C27/IF($C$23=$C$21*75%,SUM($C$23,$C$24:C26),IF($C$23=($C$21/2*75%),SUM(($C$21-$C$21/2),$C$24:C26),IF($C$23=$C$21/2,SUM($C$21,$C$24:C26)))))</f>
      </c>
      <c r="C27" s="38">
        <f>ROUND(IF(C11&lt;DATE(1983,7,1),SUM(IF(C7="F",IF(C12="",C21-C22,C23),C21),C24:C26)*10%,0),2)</f>
        <v>0</v>
      </c>
      <c r="D27" s="11"/>
      <c r="E27" s="13"/>
      <c r="F27" s="13"/>
    </row>
    <row r="28" spans="1:6" ht="14.25" customHeight="1">
      <c r="A28" s="39">
        <v>31229</v>
      </c>
      <c r="B28" s="41">
        <f>IF(C28=0,"",C28/IF($C$23=$C$21*75%,SUM($C$23,$C$24:C27),IF($C$23=($C$21/2*75%),SUM(($C$21-$C$21/2),$C$24:C27),IF($C$23=$C$21/2,SUM($C$21,$C$24:C27)))))</f>
      </c>
      <c r="C28" s="38">
        <f>ROUND(IF(C11&lt;DATE(1985,12,1),SUM(IF(C7="F",IF(5299="",C21-C22,C23),C21),C24:C27)*13.5%,0),2)</f>
        <v>0</v>
      </c>
      <c r="D28" s="11"/>
      <c r="E28" s="13"/>
      <c r="F28" s="13"/>
    </row>
    <row r="29" spans="1:6" ht="15" customHeight="1" hidden="1">
      <c r="A29" s="39" t="s">
        <v>12</v>
      </c>
      <c r="B29" s="41"/>
      <c r="C29" s="38"/>
      <c r="D29" s="11"/>
      <c r="E29" s="13"/>
      <c r="F29" s="13"/>
    </row>
    <row r="30" spans="1:6" ht="15">
      <c r="A30" s="39">
        <v>31594</v>
      </c>
      <c r="B30" s="41">
        <f>IF(C30=0,"",C30/IF($C$23=$C$21*75%,SUM($C$23,$C$24:$C$27,$C$29),IF($C$23=($C$21/2*75%),SUM(($C$21-$C$21/2),$C$24:$C$27,$C$29),IF($C$23=$C$21/2,SUM($C$21,$C$24:$C$27,$C$29)))))</f>
        <v>0.04499999999999999</v>
      </c>
      <c r="C30" s="38">
        <f>ROUND(IF(C11&lt;DATE(1987,7,1),SUM(IF(C7="F",IF(C12="",C21-C22,C23),C21),C24:C27,C29)*4.5%,0),2)</f>
        <v>46.41</v>
      </c>
      <c r="D30" s="11"/>
      <c r="E30" s="13"/>
      <c r="F30" s="13"/>
    </row>
    <row r="31" spans="1:4" ht="15">
      <c r="A31" s="39">
        <v>31959</v>
      </c>
      <c r="B31" s="40">
        <f>IF(C31=0,"",C31/IF($C$23=$C$21*75%,SUM($C$23,$C$24:$C$27,$C$29),IF($C$23=($C$21/2*75%),SUM(($C$21-$C$21/2),$C$24:$C$27,$C$29),IF($C$23=$C$21/2,SUM($C$21,$C$24:$C$27,$C$29)))))</f>
        <v>0.039996767937944405</v>
      </c>
      <c r="C31" s="38">
        <f>ROUND(IF(C11&lt;DATE(1987,7,1),SUM(IF(C7="F",IF(C12="",C21-C22,C23),C21),C24:C27,C29)*4%,0),2)</f>
        <v>41.25</v>
      </c>
      <c r="D31" s="11"/>
    </row>
    <row r="32" spans="1:4" ht="15">
      <c r="A32" s="39">
        <v>32325</v>
      </c>
      <c r="B32" s="40">
        <f>IF(C32=0,"",C32/IF($C$23=$C$21*75%,SUM($C$23,$C$24:$C$27,$C$29),IF($C$23=($C$21/2*75%),SUM(($C$21-$C$21/2),$C$24:$C$27,$C$29),IF($C$23=$C$21/2,SUM($C$21,$C$24:$C$27,$C$29)))))</f>
        <v>0.06999676793794439</v>
      </c>
      <c r="C32" s="38">
        <f>ROUND(IF(C11&lt;DATE(1988,7,1),SUM(IF(C7="F",IF(C12="",C21-C22,C23),C21),C24:C27,C29)*7%,0),2)</f>
        <v>72.19</v>
      </c>
      <c r="D32" s="11"/>
    </row>
    <row r="33" spans="1:4" ht="15" hidden="1">
      <c r="A33" s="39" t="s">
        <v>2</v>
      </c>
      <c r="B33" s="40"/>
      <c r="C33" s="38">
        <f>IF(C7="S",IF(AND(SUM(C22:C32)&lt;300,C32&gt;0),300-SUM(C22:C32),0),IF(AND(SUM(C22:C32)&lt;150,C32&gt;0),150-SUM(C22:C32),0))</f>
        <v>0</v>
      </c>
      <c r="D33" s="11"/>
    </row>
    <row r="34" spans="1:4" ht="15">
      <c r="A34" s="39">
        <v>33055</v>
      </c>
      <c r="B34" s="40">
        <f>IF(C34=0,"",C34/IF($C$23=$C$21*75%,SUM($C$23,IF(C5="F",C24:C27,$C$24:C33)),IF($C$23=($C$21/2*75%),SUM(($C$21-$C$21/2),IF(C5="F",C24:C27,$C$24:C33)),IF($C$23=$C$21/2,SUM($C$21,IF(C5="F",C24:C27,$C$24:C33))))))</f>
        <v>0.05000069958444683</v>
      </c>
      <c r="C34" s="38">
        <f>ROUND(IF(C11&lt;DATE(1990,7,1),SUM(IF(C7="F",IF(C12="",C21-C22,C23),C21),IF(C5="F",C24:C27,C24:C33))*IF(OR(C5="F",C5="B"),5%,10%),0),2)</f>
        <v>59.56</v>
      </c>
      <c r="D34" s="11"/>
    </row>
    <row r="35" spans="1:4" ht="15">
      <c r="A35" s="39">
        <v>33390</v>
      </c>
      <c r="B35" s="40">
        <f>IF(C35=0,"",C35/IF($C$23=$C$21*75%,SUM($C$23,$C$24:C34),IF($C$23=($C$21/2*75%),SUM(($C$21-$C$21/2),$C$24:C34),IF($C$23=$C$21/2,SUM($C$21,$C$24:C34)))))</f>
        <v>0.1200006396196395</v>
      </c>
      <c r="C35" s="38">
        <f>ROUND(IF(AND(C11&gt;DATE(1977,4,30),C11&lt;DATE(1991,6,1)),SUM(IF(C7="F",IF(C12="",C21-C22,C23),C21),C24:C34)*12%,IF(C11&lt;DATE(1977,5,1),SUM(IF(C7="F",IF(C12="",C21-C22,C23),C21),C24:C34)*32%,0)),2)</f>
        <v>150.09</v>
      </c>
      <c r="D35" s="11"/>
    </row>
    <row r="36" spans="1:4" ht="15">
      <c r="A36" s="39">
        <v>34881</v>
      </c>
      <c r="B36" s="40">
        <f>IF(C36=0,"",C36/IF($C$23=$C$21*75%,SUM($C$23,$C$24:C35),IF($C$23=($C$21/2*75%),SUM(($C$21-$C$21/2),$C$24:C35),IF($C$23=$C$21/2,SUM($C$21,$C$24:C35)))))</f>
        <v>0.09999762046400952</v>
      </c>
      <c r="C36" s="38">
        <f>ROUND(IF(AND(C11&gt;DATE(1991,5,31),C11&lt;DATE(1993,6,1)),SUM(IF(C7="F",IF(C12="",C21-C22,C23),C21),C24:C35)*5%,IF(AND(C11&gt;DATE(1977,4,30),C11&lt;DATE(1991,6,1)),SUM(IF(C7="F",IF(C12="",C21-C22,C23),C21),C24:C35)*10%,IF(C11&lt;DATE(1977,5,1),SUM(IF(C7="F",IF(C12="",C21-C22,C23),C21),C24:C35)*15%,))),2)</f>
        <v>140.08</v>
      </c>
      <c r="D36" s="11"/>
    </row>
    <row r="37" spans="1:4" ht="15">
      <c r="A37" s="39">
        <v>35490</v>
      </c>
      <c r="B37" s="40">
        <f>IF(C37=0,"",C37/IF($C$23=$C$21*75%,SUM($C$23,$C$24:C36),IF($C$23=($C$21/2*75%),SUM(($C$21-$C$21/2),$C$24:C36),IF($C$23=$C$21/2,SUM($C$21,$C$24:C36)))))</f>
        <v>0.09999913471231348</v>
      </c>
      <c r="C37" s="38">
        <f>ROUND(IF(AND(C11&lt;DATE(1997,3,1),C6&lt;17),SUM(IF(C7="F",IF(C12="",C21-C22,C23),C21),C24:C36)*10%,0),2)</f>
        <v>154.09</v>
      </c>
      <c r="D37" s="11"/>
    </row>
    <row r="38" spans="1:4" ht="15">
      <c r="A38" s="39">
        <v>36342</v>
      </c>
      <c r="B38" s="40">
        <f>IF(C38=0,"",C38/IF($C$23=$C$21*75%,SUM($C$23,$C$24:C37),IF($C$23=($C$21/2*75%),SUM(($C$21-$C$21/2),$C$24:C37),IF($C$23=$C$21/2,SUM($C$21,$C$24:C37)))))</f>
        <v>0.2499995083588823</v>
      </c>
      <c r="C38" s="38">
        <f>ROUND(IF(AND(C11&lt;DATE(2001,12,1),C6&gt;16),SUM(IF(C7="F",IF(C12="",C21-C22,C23),C21),C24:C37)*20%,IF(AND(C11&lt;DATE(2001,12,1),C6&lt;17),SUM(IF(C7="F",IF(C12="",C21-C22,C23),C21),C24:C37)*25%,)),2)</f>
        <v>423.75</v>
      </c>
      <c r="D38" s="12"/>
    </row>
    <row r="39" spans="1:4" ht="15" hidden="1">
      <c r="A39" s="39" t="s">
        <v>25</v>
      </c>
      <c r="B39" s="40"/>
      <c r="C39" s="42">
        <f>IF(AND(C15&lt;DATE(2001,12,1),C15&gt;0),C22,0)*IF(C7="F",75%,1)</f>
        <v>0</v>
      </c>
      <c r="D39" s="11"/>
    </row>
    <row r="40" spans="1:4" ht="15">
      <c r="A40" s="39">
        <v>37226</v>
      </c>
      <c r="B40" s="40">
        <f>IF(C40=0,"",IF(AND(C11&gt;DATE(1993,6,30),C11&lt;DATE(2001,12,1)),5%,IF(AND(C11&gt;DATE(1991,5,31),C11&lt;DATE(1993,7,1)),10%,IF(C11&lt;DATE(1991,6,1),15%))))</f>
        <v>0.15</v>
      </c>
      <c r="C40" s="38">
        <f>ROUND(IF(AND(C15&gt;0,C15&lt;DATE(2015,2,1)),SUM(IF(C7="F",IF(C12="",C21-C22,C23),C21),C24:C38),SUM(C23:C39))*IF(AND(C11&gt;DATE(1993,6,30),C11&lt;DATE(2001,12,1)),5%,IF(AND(C11&gt;DATE(1991,5,31),C11&lt;DATE(1993,7,1)),10%,IF(C11&lt;DATE(1991,6,1),15%))),2)</f>
        <v>317.81</v>
      </c>
      <c r="D40" s="11"/>
    </row>
    <row r="41" spans="1:4" ht="15" hidden="1">
      <c r="A41" s="39">
        <f>IF(C41&gt;0,$C$15,"")</f>
      </c>
      <c r="B41" s="40">
        <f>IF(C41=0,"",C41/SUM(,IF(AND($C$15&gt;0,$C$15&lt;DATE(2015,2,1)),($C$21,$C$24:$C$38),$C$23:$C$38)))</f>
      </c>
      <c r="C41" s="42">
        <f>IF(AND(C15&gt;DATE(2001,11,30),C15&lt;DATE(2003,7,1)),C22)*IF(C7="F",75%,1)</f>
        <v>0</v>
      </c>
      <c r="D41" s="11"/>
    </row>
    <row r="42" spans="1:4" ht="15">
      <c r="A42" s="39">
        <v>37803</v>
      </c>
      <c r="B42" s="40">
        <f>IF(C42=0,"",15%)</f>
        <v>0.15</v>
      </c>
      <c r="C42" s="38">
        <f>ROUND(IF(C11&lt;DATE(2005,7,1),SUM(IF(AND(C15&gt;0,C15&lt;DATE(2015,2,1)),SUM(IF(C7="F",IF(C12="",C21-C22,C23),C21),C24:C38,C40),SUM(C23:C41)))*15%,0),2)</f>
        <v>365.48</v>
      </c>
      <c r="D42" s="11"/>
    </row>
    <row r="43" spans="1:4" ht="15" hidden="1">
      <c r="A43" s="39">
        <f>IF(C43&gt;0,$C$15,"")</f>
      </c>
      <c r="B43" s="40">
        <f>IF(C43=0,"",C43/SUM(,IF(AND($C$15&gt;0,$C$15&lt;DATE(2015,2,1)),($C$21,$C$24:$C$38,$C$40),$C$23:C42)))</f>
      </c>
      <c r="C43" s="42">
        <f>IF(AND(C15&gt;DATE(2003,7,1),C15&lt;DATE(2004,7,1)),C22,0)*IF(C7="F",75%,1)</f>
        <v>0</v>
      </c>
      <c r="D43" s="11"/>
    </row>
    <row r="44" spans="1:4" ht="15">
      <c r="A44" s="39">
        <v>38169</v>
      </c>
      <c r="B44" s="40">
        <f>IF(C44=0,"",IF(AND(C11&gt;DATE(1993,6,30),C11&lt;DATE(2005,7,1)),8%,IF(AND(C11&lt;DATE(1993,7,1),C11&lt;DATE(2005,7,1)),16%,)))</f>
        <v>0.16</v>
      </c>
      <c r="C44" s="38">
        <f>ROUND(IF(AND(C11&gt;DATE(1993,6,30),C11&lt;DATE(2005,7,1)),SUM(IF(AND(C15&gt;0,C15&lt;DATE(2015,2,1)),SUM(IF(C7="F",IF(C12="",C21-C22,C23),C21),C24:C38,C40,C42),SUM(C23:C43)))*8%,IF(AND(C11&lt;DATE(1993,7,1),C11&lt;DATE(2005,7,1)),SUM(IF(AND(C15&gt;0,C15&lt;DATE(2015,2,1)),SUM(IF(C7="F",IF(C12="",C21-C22,C23),C21),C24:C38,C40,C42),SUM(C23:C43)))*16%,)),2)</f>
        <v>448.33</v>
      </c>
      <c r="D44" s="11"/>
    </row>
    <row r="45" spans="1:4" ht="15" hidden="1">
      <c r="A45" s="39">
        <f>IF(C45&gt;0,$C$15,"")</f>
        <v>38297</v>
      </c>
      <c r="B45" s="40"/>
      <c r="C45" s="42">
        <f>IF(AND(C15&gt;DATE(2004,6,30),C15&lt;DATE(2005,7,1)),C22,0)*IF(C7="F",75%,1)</f>
        <v>515.6666666666667</v>
      </c>
      <c r="D45" s="11"/>
    </row>
    <row r="46" spans="1:4" ht="15">
      <c r="A46" s="39">
        <v>38534</v>
      </c>
      <c r="B46" s="40">
        <f>IF(C46=0,"",10%)</f>
        <v>0.1</v>
      </c>
      <c r="C46" s="38">
        <f>ROUND(IF(C11&lt;DATE(2011,7,1),SUM(IF(AND(C15&gt;0,C15&lt;DATE(2015,2,1)),SUM(IF(C7="F",IF(C12="",C21-C22,C23),C21),C24:C38,C40,C42,C44),SUM(C23:C45)))*10%,0),2)</f>
        <v>325.04</v>
      </c>
      <c r="D46" s="11"/>
    </row>
    <row r="47" spans="1:4" ht="15" hidden="1">
      <c r="A47" s="39">
        <f>IF(C47&gt;0,$C$15,"")</f>
      </c>
      <c r="B47" s="40">
        <f>IF(C47=0,"",C47/SUM(,IF(AND($C$15&gt;0,$C$15&lt;DATE(2015,2,1)),($C$21,$C$24:$C$38,$C$40,$C$42,$C$44),$C$23:C46)))</f>
      </c>
      <c r="C47" s="42">
        <f>IF(AND(C15&gt;DATE(2005,6,30),C15&lt;DATE(2006,7,1)),C22,0)*IF(C7="F",75%,1)</f>
        <v>0</v>
      </c>
      <c r="D47" s="11"/>
    </row>
    <row r="48" spans="1:4" ht="15">
      <c r="A48" s="39">
        <v>38899</v>
      </c>
      <c r="B48" s="40">
        <f>IF(C48=0,"",IF(AND(C11&gt;DATE(1977,4,30),C11&lt;DATE(2011,7,1)),15%,IF(C11&lt;DATE(1977,5,1),20%,)))</f>
        <v>0.15</v>
      </c>
      <c r="C48" s="38">
        <f>ROUND(IF(AND(C11&gt;DATE(1977,4,30),C11&lt;DATE(2011,7,1)),SUM(IF(AND(C15&gt;0,C15&lt;DATE(2015,2,1)),SUM(IF(C7="F",IF(C12="",C21-C22,C23),C21),C24:C38,C40,C42,C44,C46),SUM(C23:C47)))*15%,IF(C11&lt;DATE(1977,5,1),SUM(IF(AND(C15&gt;0,C15&lt;DATE(2015,2,1)),SUM(IF(C7="F",IF(C12="",C21-C22,C23),C21),C24:C38,C40,C42,C44,C46),SUM(C23:C47)))*20%,)),2)</f>
        <v>536.31</v>
      </c>
      <c r="D48" s="11"/>
    </row>
    <row r="49" spans="1:4" ht="15" hidden="1">
      <c r="A49" s="39">
        <f>IF(C49&gt;0,$C$15,"")</f>
      </c>
      <c r="B49" s="40">
        <f>IF(C49=0,"",C49/SUM(,IF(AND($C$15&gt;0,$C$15&lt;DATE(2015,2,1)),($C$21,$C$24:$C$38,$C$40,$C$42,$C$44,$C$46),$C$23:C48)))</f>
      </c>
      <c r="C49" s="42">
        <f>IF(AND(C15&gt;DATE(2006,6,30),C15&lt;DATE(2007,7,1)),C22,0)*IF(C7="F",75%,1)</f>
        <v>0</v>
      </c>
      <c r="D49" s="11"/>
    </row>
    <row r="50" spans="1:4" ht="15">
      <c r="A50" s="39">
        <v>39264</v>
      </c>
      <c r="B50" s="40">
        <f>IF(C50=0,"",IF(AND(C11&gt;DATE(1997,6,30),B11&lt;DATE(2007,7,1)),15%,IF(C11&lt;DATE(1997,7,1),20%,)))</f>
        <v>0.2</v>
      </c>
      <c r="C50" s="38">
        <f>ROUND(IF(AND(C11&gt;DATE(1997,6,30),C11&lt;DATE(2007,7,1)),SUM(IF(AND(C15&gt;0,C15&lt;DATE(2015,2,1)),SUM(IF(C7="F",IF(C12="",C21-C22,C23),C21),C24:C38,C40,C42,C44,C46,C48),SUM(C23:C49)))*15%,IF(C11&lt;DATE(1997,7,1),SUM(IF(AND(C15&gt;0,C15&lt;DATE(2015,2,1)),SUM(IF(C7="F",IF(C12="",C21-C22,C23),C21),C24:C38,C40,C42,C44,C46,C48),SUM(C23:C49)))*20%,)),2)</f>
        <v>822.34</v>
      </c>
      <c r="D50" s="11"/>
    </row>
    <row r="51" spans="1:4" ht="15" hidden="1">
      <c r="A51" s="39">
        <f>IF(C51&gt;0,$C$15,"")</f>
      </c>
      <c r="B51" s="40">
        <f>IF(C51=0,"",C51/SUM(,IF(AND($C$15&gt;0,$C$15&lt;DATE(2015,2,1)),($C$21,$C$24:$C$38,$C$40,$C$42,$C$44,$C$46,$C$48),$C$23:C50)))</f>
      </c>
      <c r="C51" s="42">
        <f>IF(AND(C15&gt;DATE(2007,6,30),C15&lt;DATE(2008,7,1)),C22,0)*IF(C7="F",75%,1)</f>
        <v>0</v>
      </c>
      <c r="D51" s="11"/>
    </row>
    <row r="52" spans="1:4" ht="15">
      <c r="A52" s="39">
        <v>39630</v>
      </c>
      <c r="B52" s="40">
        <f>IF(C52=0,"",20%)</f>
        <v>0.2</v>
      </c>
      <c r="C52" s="38">
        <f>ROUND(IF(C11&lt;DATE(2008,7,1),SUM(IF(AND(C15&gt;0,C15&lt;DATE(2015,2,1)),SUM(IF(C7="F",IF(C12="",C21-C22,C23),C21),C24:C38,C40,C42,C44,C46,C48,C50),SUM(C23:C51)))*20%,0),2)</f>
        <v>986.81</v>
      </c>
      <c r="D52" s="11"/>
    </row>
    <row r="53" spans="1:4" ht="15" hidden="1">
      <c r="A53" s="39">
        <f>IF(C53&gt;0,"S.B 2008 (Min. Pension)","")</f>
      </c>
      <c r="B53" s="40">
        <f>IF(C53=0,"",C53/SUM(,IF(AND($C$15&gt;0,$C$15&lt;DATE(2015,2,1)),($C$21,$C$24:$C$38,$C$40,$C$42,$C$44,$C$46,$C$48,$C$50),$C$23:C52)))</f>
      </c>
      <c r="C53" s="38">
        <f>IF(C7="S",IF(AND(SUM(C22:C52)&lt;2000,SUM(C24:C52)&gt;0),2000-SUM(C22:C52),0),IF(C7="F",IF(AND(SUM(C22:C52)&lt;1000,SUM(C24:C52)&gt;0),1000-SUM(C22:C52),0)))</f>
        <v>0</v>
      </c>
      <c r="D53" s="11"/>
    </row>
    <row r="54" spans="1:4" ht="15" hidden="1">
      <c r="A54" s="39">
        <f>IF(C54&gt;0,$C$15,"")</f>
      </c>
      <c r="B54" s="40">
        <f>IF(C54=0,"",C54/SUM(,IF(AND($C$15&gt;0,$C$15&lt;DATE(2015,2,1)),($C$21,$C$24:$C$38,$C$40,$C$42,$C$44,$C$46,$C$48,$C$50),$C$23:C53)))</f>
      </c>
      <c r="C54" s="42">
        <f>IF(AND(C15&gt;DATE(2008,6,30),C15&lt;DATE(2009,7,1)),C22,0)*IF(C7="F",75%,1)</f>
        <v>0</v>
      </c>
      <c r="D54" s="11"/>
    </row>
    <row r="55" spans="1:4" ht="15">
      <c r="A55" s="39">
        <v>39995</v>
      </c>
      <c r="B55" s="40">
        <f>IF(C55=0,"",IF(C11&lt;DATE(2001,12,1),20%,IF(AND(C11&gt;DATE(2001,11,30),C11&lt;DATE(2011,7,1)),15%,)))</f>
        <v>0.2</v>
      </c>
      <c r="C55" s="38">
        <f>ROUND(IF(C11&lt;DATE(2001,12,1),SUM(IF(AND(C15&gt;0,C15&lt;DATE(2015,2,1)),SUM(IF(C7="F",IF(C12="",C21-C22,C23),C21),C24:C38,C40,C42,C44,C46,C48,C50,C52,C53),SUM(C23:C54)))*20%,IF(AND(C11&gt;DATE(2001,11,30),C11&lt;DATE(2011,7,1)),SUM(IF(AND(C15&gt;0,C15&lt;DATE(2015,2,1)),SUM(IF(C7="F",IF(C12="",C21-C22,C23),C21),C24:C38,C40,C42,C44,C46,C48,C50,C52),SUM(C23:C54)))*15%,)),2)</f>
        <v>1184.17</v>
      </c>
      <c r="D55" s="11"/>
    </row>
    <row r="56" spans="1:4" ht="15" hidden="1">
      <c r="A56" s="39">
        <f>IF(C56&gt;0,$C$15,"")</f>
      </c>
      <c r="B56" s="40">
        <f>IF(C56=0,"",C56/SUM(,IF(AND($C$15&gt;0,$C$15&lt;DATE(2015,2,1)),($C$21,$C$24:$C$38,$C$40,$C$42,$C$44,$C$46,$C$48,$C$50,$C$52),$C$23:C55)))</f>
      </c>
      <c r="C56" s="42">
        <f>IF(AND(C15&gt;DATE(2009,6,30),C15&lt;DATE(2010,7,1)),C22,0)*IF(C7="F",75%,1)</f>
        <v>0</v>
      </c>
      <c r="D56" s="11"/>
    </row>
    <row r="57" spans="1:4" ht="15">
      <c r="A57" s="39">
        <v>40360</v>
      </c>
      <c r="B57" s="40">
        <f>IF(C57=0,"",IF(C11&lt;DATE(2001,12,1),20%,IF(AND(C11&lt;DATE(2011,7,1),C11&gt;DATE(2001,11,30)),15%)))</f>
        <v>0.2</v>
      </c>
      <c r="C57" s="38">
        <f>ROUND(IF(C11&lt;DATE(2001,12,1),SUM(IF(AND(C15&gt;0,C15&lt;DATE(2015,2,1)),SUM(IF(C7="F",IF(C12="",C21-C22,C23),C21),C24:C38,C40,C42,C44,C46,C48,C50,C52,C55),SUM(C23:C56)))*20%,IF(AND(C11&lt;DATE(2011,7,1),C11&gt;DATE(2001,11,30)),SUM(IF(AND(C15&gt;0,C15&lt;DATE(2015,2,1)),SUM(IF(C7="F",IF(C12="",C21-C22,C23),C21),C24:C38,C40,C42,C44,C46,C48,C50,C52,C55),SUM(C23:C56)))*15%,C23*15%)),2)</f>
        <v>1421.01</v>
      </c>
      <c r="D57" s="11"/>
    </row>
    <row r="58" spans="1:4" ht="15" hidden="1">
      <c r="A58" s="39">
        <f>IF(C58&gt;0,"S.B 2010 (Min Pension)","")</f>
      </c>
      <c r="B58" s="40"/>
      <c r="C58" s="38">
        <f>IF(C7="S",IF(AND(SUM(C22:C57)&lt;3000,SUM(C24:C57)&gt;0),3000-SUM(C22:C57),0),IF(C7="F",IF(AND(SUM(C22:C57)&lt;2250,SUM(C24:C57)&gt;0),2250-SUM(C22:C57),0)))</f>
        <v>0</v>
      </c>
      <c r="D58" s="11"/>
    </row>
    <row r="59" spans="1:4" ht="15">
      <c r="A59" s="39" t="s">
        <v>4</v>
      </c>
      <c r="B59" s="40">
        <f>IF(C11&lt;DATE(2011,7,1),IF(C6&lt;16,25%,20%))</f>
        <v>0.25</v>
      </c>
      <c r="C59" s="38">
        <f>ROUND(IF(C11&lt;DATE(2011,7,1),IF(C6&lt;16,SUM(IF(AND(C15&gt;0,C15&lt;DATE(2015,2,1)),SUM(IF(C7="F",IF(C12="",C21-C22,C23),C21),C24:C38,C40,C42,C44,C46,C48,C50,C52,C55,C57,C58),SUM(C23:C58)))*25%,SUM(IF(AND(C15&gt;0,C15&lt;DATE(2015,2,1)),SUM(IF(C7="F",IF(C12="",C21-C22,C23),C21),C24:C38,C40,C42,C44,C46,C48,C50,C52,C55,C57,C58),SUM(C23:C58)))*20%),IF(C6&lt;16,C23*25%,C23*20%)),2)</f>
        <v>2131.51</v>
      </c>
      <c r="D59" s="11"/>
    </row>
    <row r="60" spans="1:4" ht="15" hidden="1">
      <c r="A60" s="39">
        <f>IF(C60&gt;0,$C$15,"")</f>
      </c>
      <c r="B60" s="40">
        <f>IF(C60=0,"",C60/SUM(,IF(AND($C$15&gt;0,$C$15&lt;DATE(2015,2,1)),($C$21,$C$24:$C$38,$C$40,$C$42,$C$44,$C$46,$C$48,$C$50,$C$52,$C$55,$C$57),$C$23:C59)))</f>
      </c>
      <c r="C60" s="42">
        <f>IF(AND(C15&gt;DATE(2010,7,1),C15&lt;DATE(2011,7,1)),C22,0)*IF(C7="F",75%,1)</f>
        <v>0</v>
      </c>
      <c r="D60" s="11"/>
    </row>
    <row r="61" spans="1:4" ht="15">
      <c r="A61" s="39">
        <v>40725</v>
      </c>
      <c r="B61" s="40">
        <f>IF(C11&lt;DATE(2002,7,1),20%,15%)</f>
        <v>0.2</v>
      </c>
      <c r="C61" s="38">
        <f>ROUND(IF(C11&lt;DATE(2002,7,1),SUM(IF(AND(C15&gt;0,C15&lt;DATE(2015,2,1)),SUM(IF(C7="F",IF(C12="",C21-C22,C23),C21),C24:C38,C40,C42,C44,C46,C48,C50,C52,C55,C57),SUM(C23:C58)))*20%,SUM(IF(AND(C15&gt;0,C15&lt;DATE(2015,2,1)),SUM(IF(C7="F",IF(C12="",C21-C22,C23),C21),C24:C38,C40,C42,C44,C46,C48,C50,C52,C55,C57),SUM(C23:C58)))*15%),2)</f>
        <v>1705.21</v>
      </c>
      <c r="D61" s="11"/>
    </row>
    <row r="62" spans="1:4" ht="15" hidden="1">
      <c r="A62" s="39">
        <f>IF(C62&gt;0,$C$15,"")</f>
      </c>
      <c r="B62" s="40">
        <f>IF(C62=0,"",C62/SUM(,IF(AND($C$15&gt;0,$C$15&lt;DATE(2015,2,1)),($C$21,$C$24:$C$38,$C$40,$C$42,$C$44,$C$46,$C$48,$C$50,$C$52,$C$55,$C$57),$C$23:C59)))</f>
      </c>
      <c r="C62" s="42">
        <f>ROUND(IF(AND(C15&gt;DATE(2011,6,30),C15&lt;DATE(2012,7,1)),C22,0),2)*IF(C7="F",75%,1)</f>
        <v>0</v>
      </c>
      <c r="D62" s="11"/>
    </row>
    <row r="63" spans="1:4" ht="15">
      <c r="A63" s="39">
        <v>41091</v>
      </c>
      <c r="B63" s="40">
        <v>0.2</v>
      </c>
      <c r="C63" s="38">
        <f>ROUND(SUM(IF(AND(C15&gt;0,C15&lt;DATE(2015,2,1)),SUM(IF(C7="F",IF(C12="",C21-C22,C23),C21),C24:C38,C40,C42,C44,C46,C48,C50,C52,C55,C57,C61),SUM(C23:C58,C60:C62)))*20%,2)</f>
        <v>2046.25</v>
      </c>
      <c r="D63" s="11"/>
    </row>
    <row r="64" spans="1:4" ht="15" hidden="1">
      <c r="A64" s="39">
        <f>IF(C64&gt;0,$C$15,"")</f>
      </c>
      <c r="B64" s="40">
        <f>IF(C64=0,"",C64/SUM(,IF(AND($C$15&gt;0,$C$15&lt;DATE(2015,2,1)),($C$21,$C$24:$C$38,$C$40,$C$42,$C$44,$C$46,$C$48,$C$50,$C$52,$C$55,$C$57,$C$61),($C$23:C59,C61:C63))))</f>
      </c>
      <c r="C64" s="42">
        <f>ROUND(IF(AND(C15&gt;DATE(2012,6,30),C15&lt;DATE(2013,7,1)),C22,0),2)*IF(C7="F",75%,1)</f>
        <v>0</v>
      </c>
      <c r="D64" s="11"/>
    </row>
    <row r="65" spans="1:4" ht="15">
      <c r="A65" s="39">
        <v>41456</v>
      </c>
      <c r="B65" s="40">
        <f>IF(OR(C5="B",C5="K"),15%,10%)</f>
        <v>0.15</v>
      </c>
      <c r="C65" s="38">
        <f>ROUND(SUM(IF(AND(C15&gt;0,C15&lt;DATE(2015,2,1)),SUM(IF(C7="F",IF(C12="",C21-C22,C23),C21),C24:C38,C40,C42,C44,C46,C48,C50,C52,C55,C57,C61,C63),SUM(C23:C58,C60:C64)))*IF(OR(C5="K",C5="B"),15%,10%),2)</f>
        <v>1841.63</v>
      </c>
      <c r="D65" s="11"/>
    </row>
    <row r="66" spans="1:4" ht="15" hidden="1">
      <c r="A66" s="39">
        <f>IF(C66&gt;0,"S.B 2013 (Min. Pension)","")</f>
      </c>
      <c r="B66" s="40">
        <f>IF(C66=0,"",C66/SUM(,IF(AND($C$15&gt;0,$C$15&lt;DATE(2015,2,1)),($C$21,$C$24:$C$38,$C$40,$C$42,$C$44,$C$46,$C$48,$C$50,$C$52,$C$55,$C$57,$C$61,$C$63),($C$23:$C$58,$C$60:C65))))</f>
      </c>
      <c r="C66" s="38">
        <f>IF(SUM(C21,C24:C58,C60:C63,C65)&lt;IF(C7="S",5000,3750),IF(C7="S",5000,3750)-SUM(C21,C24:C58,C60:C63,C65),0)</f>
        <v>0</v>
      </c>
      <c r="D66" s="11"/>
    </row>
    <row r="67" spans="1:4" ht="15" hidden="1">
      <c r="A67" s="39">
        <f>IF(C67&gt;0,$C$15,"")</f>
      </c>
      <c r="B67" s="40">
        <f>IF(C67=0,"",C67/SUM(,IF(AND($C$15&gt;0,$C$15&lt;DATE(2015,2,1)),($C$21,$C$24:$C$38,$C$40,$C$42,$C$44,$C$46,$C$48,$C$50,$C$52,$C$55,$C$57,$C$61,$C$63),($C$23:$C$58,$C$60:C66))))</f>
      </c>
      <c r="C67" s="42">
        <f>ROUND(IF(AND(C15&gt;DATE(2013,6,30),C15&lt;DATE(2014,7,1)),C22,0),2)*IF(C7="F",75%,1)</f>
        <v>0</v>
      </c>
      <c r="D67" s="11"/>
    </row>
    <row r="68" spans="1:4" ht="15">
      <c r="A68" s="39">
        <v>41821</v>
      </c>
      <c r="B68" s="40">
        <v>0.1</v>
      </c>
      <c r="C68" s="43">
        <f>SUM(IF(AND(C15&gt;0,C15&lt;DATE(2015,2,1)),SUM(IF(C7="F",IF(C12="",C21-C22,C23),C21),C24:C38,C40,C42,C44,C46,C48,C50,C52,C55,C57,C61,C63,C65,C66),SUM(C23:C58,C60:C67)))*10%</f>
        <v>1411.9143333333334</v>
      </c>
      <c r="D68" s="11"/>
    </row>
    <row r="69" spans="1:4" ht="15" hidden="1">
      <c r="A69" s="39">
        <f>IF(C69&gt;0,"S.B 2014 (Min. Pension)","")</f>
      </c>
      <c r="B69" s="37"/>
      <c r="C69" s="44">
        <f>IF(C21=0,"",IF(C7="S",IF(SUM(IF(AND(C15&gt;0,C15&lt;DATE(2014,7,1)),C23,C22):C58,C60:C68)&lt;6000,6000-SUM(IF(AND(C15&gt;0,C15&lt;DATE(2014,7,1)),C23,C22):C58,C60:C68),0),IF(SUM(IF(OR(AND(C15&gt;0,C15&lt;DATE(2014,7,1)),SUM(C23:C58,C61:C68)=3750),C23,C22):C58,C61:C68)&lt;4500,4500-SUM(IF(OR(AND(C15&gt;0,C15&lt;DATE(2014,7,1)),SUM(C23:C58,C60:C68)=3750),C23,C22):C58,C60:C68),0)))</f>
        <v>0</v>
      </c>
      <c r="D69" s="11"/>
    </row>
    <row r="70" spans="1:4" ht="15" hidden="1">
      <c r="A70" s="39">
        <f>IF(C70&gt;0,$C$15,"")</f>
      </c>
      <c r="B70" s="37"/>
      <c r="C70" s="45">
        <f>IF(AND(C15&gt;DATE(2014,6,30),C15&lt;DATE(2015,7,1)),C22,0)*IF(C7="F",75%,1)</f>
        <v>0</v>
      </c>
      <c r="D70" s="11"/>
    </row>
    <row r="71" spans="1:4" s="2" customFormat="1" ht="18.75">
      <c r="A71" s="46" t="s">
        <v>13</v>
      </c>
      <c r="B71" s="46"/>
      <c r="C71" s="47">
        <f>SUM(C23,C24:C70)</f>
        <v>17662.56766666667</v>
      </c>
      <c r="D71" s="11"/>
    </row>
    <row r="16242" ht="15">
      <c r="C16242" s="1"/>
    </row>
    <row r="16243" ht="15">
      <c r="C16243" s="1"/>
    </row>
    <row r="16244" ht="15">
      <c r="C16244" s="1"/>
    </row>
    <row r="16245" ht="15">
      <c r="C16245" s="1"/>
    </row>
    <row r="16246" ht="15">
      <c r="C16246" s="1"/>
    </row>
    <row r="16247" ht="15">
      <c r="C16247" s="1"/>
    </row>
    <row r="16248" ht="15">
      <c r="C16248" s="1"/>
    </row>
    <row r="16249" ht="15">
      <c r="C16249" s="1"/>
    </row>
    <row r="16250" ht="15">
      <c r="C16250" s="1"/>
    </row>
    <row r="16251" ht="15">
      <c r="C16251" s="1"/>
    </row>
    <row r="16252" ht="15">
      <c r="C16252" s="1"/>
    </row>
    <row r="16253" ht="15">
      <c r="C16253" s="1"/>
    </row>
    <row r="16254" ht="15">
      <c r="C16254" s="1"/>
    </row>
    <row r="16255" ht="15">
      <c r="C16255" s="1"/>
    </row>
    <row r="16256" ht="15">
      <c r="C16256" s="1"/>
    </row>
    <row r="16257" ht="15">
      <c r="C16257" s="1"/>
    </row>
    <row r="16258" ht="15">
      <c r="C16258" s="1"/>
    </row>
    <row r="16259" ht="15">
      <c r="C16259" s="1"/>
    </row>
    <row r="16260" ht="15">
      <c r="C16260" s="1"/>
    </row>
    <row r="16261" ht="15">
      <c r="C16261" s="1"/>
    </row>
    <row r="16262" ht="15">
      <c r="C16262" s="1"/>
    </row>
    <row r="16263" ht="15">
      <c r="C16263" s="1"/>
    </row>
    <row r="16264" ht="15">
      <c r="C16264" s="1"/>
    </row>
    <row r="16265" ht="15">
      <c r="C16265" s="1"/>
    </row>
    <row r="16266" ht="15">
      <c r="C16266" s="1"/>
    </row>
    <row r="16267" ht="15">
      <c r="C16267" s="1"/>
    </row>
    <row r="16268" ht="15">
      <c r="C16268" s="1"/>
    </row>
    <row r="16269" ht="15">
      <c r="C16269" s="1"/>
    </row>
    <row r="16270" ht="15">
      <c r="C16270" s="1"/>
    </row>
    <row r="16271" ht="15">
      <c r="C16271" s="1"/>
    </row>
    <row r="16272" ht="15">
      <c r="C16272" s="1"/>
    </row>
    <row r="16273" ht="15">
      <c r="C16273" s="1"/>
    </row>
    <row r="16274" ht="15">
      <c r="C16274" s="1"/>
    </row>
    <row r="16275" ht="15">
      <c r="C16275" s="1"/>
    </row>
    <row r="16276" ht="15">
      <c r="C16276" s="1"/>
    </row>
    <row r="16277" ht="15">
      <c r="C16277" s="1"/>
    </row>
    <row r="16278" ht="15">
      <c r="C16278" s="1"/>
    </row>
    <row r="16279" ht="15">
      <c r="C16279" s="1"/>
    </row>
    <row r="16280" ht="15">
      <c r="C16280" s="1"/>
    </row>
    <row r="16281" ht="15">
      <c r="C16281" s="1"/>
    </row>
    <row r="16282" ht="15">
      <c r="C16282" s="1"/>
    </row>
    <row r="16283" ht="15">
      <c r="C16283" s="1"/>
    </row>
    <row r="16284" ht="15">
      <c r="C16284" s="1"/>
    </row>
    <row r="16285" ht="15">
      <c r="C16285" s="1"/>
    </row>
    <row r="16286" ht="15">
      <c r="C16286" s="1"/>
    </row>
    <row r="16287" ht="15">
      <c r="C16287" s="1"/>
    </row>
  </sheetData>
  <sheetProtection password="C71F" sheet="1"/>
  <mergeCells count="22">
    <mergeCell ref="A19:B19"/>
    <mergeCell ref="E22:F30"/>
    <mergeCell ref="A22:B22"/>
    <mergeCell ref="A23:B23"/>
    <mergeCell ref="A20:B20"/>
    <mergeCell ref="A6:B6"/>
    <mergeCell ref="A14:C14"/>
    <mergeCell ref="A16:B16"/>
    <mergeCell ref="A17:B17"/>
    <mergeCell ref="A7:B7"/>
    <mergeCell ref="A8:B8"/>
    <mergeCell ref="A9:B9"/>
    <mergeCell ref="A18:B18"/>
    <mergeCell ref="A21:B21"/>
    <mergeCell ref="D4:I4"/>
    <mergeCell ref="A1:C3"/>
    <mergeCell ref="A5:B5"/>
    <mergeCell ref="A10:B10"/>
    <mergeCell ref="A11:B11"/>
    <mergeCell ref="A12:B12"/>
    <mergeCell ref="A13:B13"/>
    <mergeCell ref="A15:B15"/>
  </mergeCells>
  <printOptions horizontalCentered="1"/>
  <pageMargins left="0.7" right="0.7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7">
      <selection activeCell="I61" sqref="I61:I66"/>
    </sheetView>
  </sheetViews>
  <sheetFormatPr defaultColWidth="9.140625" defaultRowHeight="15"/>
  <cols>
    <col min="1" max="1" width="8.57421875" style="0" bestFit="1" customWidth="1"/>
    <col min="2" max="4" width="12.7109375" style="0" bestFit="1" customWidth="1"/>
  </cols>
  <sheetData>
    <row r="1" spans="1:4" ht="15.75">
      <c r="A1" s="3" t="s">
        <v>19</v>
      </c>
      <c r="B1" s="4">
        <v>37226</v>
      </c>
      <c r="C1" s="4">
        <v>31594</v>
      </c>
      <c r="D1" s="4">
        <v>24289</v>
      </c>
    </row>
    <row r="2" spans="1:4" ht="38.25">
      <c r="A2" s="5" t="s">
        <v>20</v>
      </c>
      <c r="B2" s="5" t="s">
        <v>21</v>
      </c>
      <c r="C2" s="5" t="s">
        <v>21</v>
      </c>
      <c r="D2" s="5" t="s">
        <v>21</v>
      </c>
    </row>
    <row r="3" spans="1:4" ht="15">
      <c r="A3" s="6">
        <v>20</v>
      </c>
      <c r="B3" s="6">
        <v>40.5043</v>
      </c>
      <c r="C3" s="7">
        <v>50.6304</v>
      </c>
      <c r="D3" s="7"/>
    </row>
    <row r="4" spans="1:4" ht="15">
      <c r="A4" s="6">
        <v>21</v>
      </c>
      <c r="B4" s="6">
        <v>39.7341</v>
      </c>
      <c r="C4" s="7">
        <v>49.6676</v>
      </c>
      <c r="D4" s="7"/>
    </row>
    <row r="5" spans="1:4" ht="15">
      <c r="A5" s="6">
        <v>22</v>
      </c>
      <c r="B5" s="6">
        <v>38.9653</v>
      </c>
      <c r="C5" s="7">
        <v>48.7066</v>
      </c>
      <c r="D5" s="7"/>
    </row>
    <row r="6" spans="1:4" ht="15">
      <c r="A6" s="6">
        <v>23</v>
      </c>
      <c r="B6" s="6">
        <v>38.1974</v>
      </c>
      <c r="C6" s="7">
        <v>47.7467</v>
      </c>
      <c r="D6" s="7"/>
    </row>
    <row r="7" spans="1:4" ht="15">
      <c r="A7" s="6">
        <v>24</v>
      </c>
      <c r="B7" s="6">
        <v>37.4307</v>
      </c>
      <c r="C7" s="7">
        <v>46.7884</v>
      </c>
      <c r="D7" s="7"/>
    </row>
    <row r="8" spans="1:4" ht="15">
      <c r="A8" s="6">
        <v>25</v>
      </c>
      <c r="B8" s="6">
        <v>36.6651</v>
      </c>
      <c r="C8" s="7">
        <v>45.8314</v>
      </c>
      <c r="D8" s="7"/>
    </row>
    <row r="9" spans="1:4" ht="15">
      <c r="A9" s="6">
        <v>26</v>
      </c>
      <c r="B9" s="6">
        <v>35.9006</v>
      </c>
      <c r="C9" s="7">
        <v>44.8758</v>
      </c>
      <c r="D9" s="7"/>
    </row>
    <row r="10" spans="1:4" ht="15">
      <c r="A10" s="6">
        <v>27</v>
      </c>
      <c r="B10" s="6">
        <v>35.1372</v>
      </c>
      <c r="C10" s="7">
        <v>43.9215</v>
      </c>
      <c r="D10" s="7"/>
    </row>
    <row r="11" spans="1:4" ht="15">
      <c r="A11" s="6">
        <v>28</v>
      </c>
      <c r="B11" s="6">
        <v>34.375</v>
      </c>
      <c r="C11" s="7">
        <v>42.9688</v>
      </c>
      <c r="D11" s="7"/>
    </row>
    <row r="12" spans="1:4" ht="15">
      <c r="A12" s="6">
        <v>29</v>
      </c>
      <c r="B12" s="6">
        <v>33.6143</v>
      </c>
      <c r="C12" s="7">
        <v>42.0179</v>
      </c>
      <c r="D12" s="7"/>
    </row>
    <row r="13" spans="1:4" ht="15">
      <c r="A13" s="6">
        <v>30</v>
      </c>
      <c r="B13" s="6">
        <v>32.8071</v>
      </c>
      <c r="C13" s="7">
        <v>41.0089</v>
      </c>
      <c r="D13" s="7"/>
    </row>
    <row r="14" spans="1:4" ht="15">
      <c r="A14" s="6">
        <v>31</v>
      </c>
      <c r="B14" s="6">
        <v>32.0974</v>
      </c>
      <c r="C14" s="7">
        <v>40.1218</v>
      </c>
      <c r="D14" s="7"/>
    </row>
    <row r="15" spans="1:4" ht="15">
      <c r="A15" s="6">
        <v>32</v>
      </c>
      <c r="B15" s="6">
        <v>31.3412</v>
      </c>
      <c r="C15" s="7">
        <v>39.1767</v>
      </c>
      <c r="D15" s="7"/>
    </row>
    <row r="16" spans="1:4" ht="15">
      <c r="A16" s="6">
        <v>33</v>
      </c>
      <c r="B16" s="6">
        <v>30.5869</v>
      </c>
      <c r="C16" s="7">
        <v>38.2336</v>
      </c>
      <c r="D16" s="7"/>
    </row>
    <row r="17" spans="1:4" ht="15">
      <c r="A17" s="6">
        <v>34</v>
      </c>
      <c r="B17" s="6">
        <v>29.8343</v>
      </c>
      <c r="C17" s="7">
        <v>37.2929</v>
      </c>
      <c r="D17" s="7"/>
    </row>
    <row r="18" spans="1:4" ht="15">
      <c r="A18" s="6">
        <v>35</v>
      </c>
      <c r="B18" s="6">
        <v>29.0841</v>
      </c>
      <c r="C18" s="7">
        <v>36.3551</v>
      </c>
      <c r="D18" s="7"/>
    </row>
    <row r="19" spans="1:4" ht="15">
      <c r="A19" s="6">
        <v>36</v>
      </c>
      <c r="B19" s="6">
        <v>28.3362</v>
      </c>
      <c r="C19" s="7">
        <v>35.4203</v>
      </c>
      <c r="D19" s="7">
        <v>20.442</v>
      </c>
    </row>
    <row r="20" spans="1:4" ht="15">
      <c r="A20" s="6">
        <v>37</v>
      </c>
      <c r="B20" s="6">
        <v>27.5908</v>
      </c>
      <c r="C20" s="7">
        <v>34.4885</v>
      </c>
      <c r="D20" s="7">
        <v>20.157</v>
      </c>
    </row>
    <row r="21" spans="1:4" ht="15">
      <c r="A21" s="6">
        <v>38</v>
      </c>
      <c r="B21" s="6">
        <v>26.8482</v>
      </c>
      <c r="C21" s="7">
        <v>33.5603</v>
      </c>
      <c r="D21" s="7">
        <v>19.867</v>
      </c>
    </row>
    <row r="22" spans="1:4" ht="15">
      <c r="A22" s="6">
        <v>39</v>
      </c>
      <c r="B22" s="6">
        <v>26.1009</v>
      </c>
      <c r="C22" s="7">
        <v>32.6361</v>
      </c>
      <c r="D22" s="7">
        <v>19.57</v>
      </c>
    </row>
    <row r="23" spans="1:4" ht="15">
      <c r="A23" s="6">
        <v>40</v>
      </c>
      <c r="B23" s="6">
        <v>25.3728</v>
      </c>
      <c r="C23" s="7">
        <v>31.716</v>
      </c>
      <c r="D23" s="7">
        <v>19.267</v>
      </c>
    </row>
    <row r="24" spans="1:4" ht="15">
      <c r="A24" s="6">
        <v>41</v>
      </c>
      <c r="B24" s="6">
        <v>24.6406</v>
      </c>
      <c r="C24" s="7">
        <v>30.8007</v>
      </c>
      <c r="D24" s="7">
        <v>18.956</v>
      </c>
    </row>
    <row r="25" spans="1:4" ht="15">
      <c r="A25" s="6">
        <v>42</v>
      </c>
      <c r="B25" s="6">
        <v>23.9126</v>
      </c>
      <c r="C25" s="7">
        <v>29.8907</v>
      </c>
      <c r="D25" s="7">
        <v>18.641</v>
      </c>
    </row>
    <row r="26" spans="1:4" ht="15">
      <c r="A26" s="6">
        <v>43</v>
      </c>
      <c r="B26" s="6">
        <v>23.184</v>
      </c>
      <c r="C26" s="7">
        <v>28.98</v>
      </c>
      <c r="D26" s="7">
        <v>18.318</v>
      </c>
    </row>
    <row r="27" spans="1:4" ht="15">
      <c r="A27" s="6">
        <v>44</v>
      </c>
      <c r="B27" s="6">
        <v>22.4713</v>
      </c>
      <c r="C27" s="7">
        <v>28.0891</v>
      </c>
      <c r="D27" s="7">
        <v>17.988</v>
      </c>
    </row>
    <row r="28" spans="1:4" ht="15">
      <c r="A28" s="6">
        <v>45</v>
      </c>
      <c r="B28" s="6">
        <v>21.7592</v>
      </c>
      <c r="C28" s="7">
        <v>27.199</v>
      </c>
      <c r="D28" s="7">
        <v>17.65</v>
      </c>
    </row>
    <row r="29" spans="1:4" ht="15">
      <c r="A29" s="6">
        <v>46</v>
      </c>
      <c r="B29" s="6">
        <v>21.0538</v>
      </c>
      <c r="C29" s="7">
        <v>26.3172</v>
      </c>
      <c r="D29" s="7">
        <v>17.307</v>
      </c>
    </row>
    <row r="30" spans="1:4" ht="15">
      <c r="A30" s="6">
        <v>47</v>
      </c>
      <c r="B30" s="6">
        <v>20.3555</v>
      </c>
      <c r="C30" s="7">
        <v>25.4444</v>
      </c>
      <c r="D30" s="7">
        <v>16.956</v>
      </c>
    </row>
    <row r="31" spans="1:4" ht="15">
      <c r="A31" s="6">
        <v>48</v>
      </c>
      <c r="B31" s="6">
        <v>19.6653</v>
      </c>
      <c r="C31" s="7">
        <v>24.5816</v>
      </c>
      <c r="D31" s="7">
        <v>16.596</v>
      </c>
    </row>
    <row r="32" spans="1:4" ht="15">
      <c r="A32" s="6">
        <v>49</v>
      </c>
      <c r="B32" s="6">
        <v>18.9841</v>
      </c>
      <c r="C32" s="7">
        <v>23.7301</v>
      </c>
      <c r="D32" s="7">
        <v>16.231</v>
      </c>
    </row>
    <row r="33" spans="1:4" ht="15">
      <c r="A33" s="6">
        <v>50</v>
      </c>
      <c r="B33" s="6">
        <v>18.3129</v>
      </c>
      <c r="C33" s="7">
        <v>22.8911</v>
      </c>
      <c r="D33" s="7">
        <v>15.859</v>
      </c>
    </row>
    <row r="34" spans="1:4" ht="15">
      <c r="A34" s="6">
        <v>51</v>
      </c>
      <c r="B34" s="6">
        <v>17.6526</v>
      </c>
      <c r="C34" s="7">
        <v>22.0658</v>
      </c>
      <c r="D34" s="7">
        <v>15.481</v>
      </c>
    </row>
    <row r="35" spans="1:4" ht="15">
      <c r="A35" s="6">
        <v>52</v>
      </c>
      <c r="B35" s="6">
        <v>17.005</v>
      </c>
      <c r="C35" s="7">
        <v>21.2563</v>
      </c>
      <c r="D35" s="7">
        <v>15.096</v>
      </c>
    </row>
    <row r="36" spans="1:4" ht="15">
      <c r="A36" s="6">
        <v>53</v>
      </c>
      <c r="B36" s="6">
        <v>16.371</v>
      </c>
      <c r="C36" s="7">
        <v>20.638</v>
      </c>
      <c r="D36" s="7">
        <v>14.707</v>
      </c>
    </row>
    <row r="37" spans="1:4" ht="15">
      <c r="A37" s="6">
        <v>54</v>
      </c>
      <c r="B37" s="6">
        <v>15.7517</v>
      </c>
      <c r="C37" s="7">
        <v>19.6896</v>
      </c>
      <c r="D37" s="7">
        <v>14.313</v>
      </c>
    </row>
    <row r="38" spans="1:4" ht="15">
      <c r="A38" s="6">
        <v>55</v>
      </c>
      <c r="B38" s="6">
        <v>15.1478</v>
      </c>
      <c r="C38" s="7">
        <v>18.9348</v>
      </c>
      <c r="D38" s="7">
        <v>13.915</v>
      </c>
    </row>
    <row r="39" spans="1:4" ht="15">
      <c r="A39" s="6">
        <v>56</v>
      </c>
      <c r="B39" s="6">
        <v>14.5602</v>
      </c>
      <c r="C39" s="7">
        <v>18.2002</v>
      </c>
      <c r="D39" s="7">
        <v>13.513</v>
      </c>
    </row>
    <row r="40" spans="1:4" ht="15">
      <c r="A40" s="6">
        <v>57</v>
      </c>
      <c r="B40" s="6">
        <v>13.9888</v>
      </c>
      <c r="C40" s="7">
        <v>17.486</v>
      </c>
      <c r="D40" s="7">
        <v>13.109</v>
      </c>
    </row>
    <row r="41" spans="1:4" ht="15">
      <c r="A41" s="6">
        <v>58</v>
      </c>
      <c r="B41" s="6">
        <v>13.434</v>
      </c>
      <c r="C41" s="7">
        <v>16.7925</v>
      </c>
      <c r="D41" s="7">
        <v>12.702</v>
      </c>
    </row>
    <row r="42" spans="1:4" ht="15">
      <c r="A42" s="6">
        <v>59</v>
      </c>
      <c r="B42" s="6">
        <v>12.8953</v>
      </c>
      <c r="C42" s="7">
        <v>16.1191</v>
      </c>
      <c r="D42" s="7">
        <v>12.294</v>
      </c>
    </row>
    <row r="43" spans="1:4" ht="15">
      <c r="A43" s="6">
        <v>60</v>
      </c>
      <c r="B43" s="6">
        <v>12.3719</v>
      </c>
      <c r="C43" s="7">
        <v>15.4649</v>
      </c>
      <c r="D43" s="7">
        <v>11.886</v>
      </c>
    </row>
    <row r="44" spans="1:4" ht="15">
      <c r="A44" s="6">
        <v>61</v>
      </c>
      <c r="B44" s="6">
        <v>11.8632</v>
      </c>
      <c r="C44" s="7">
        <v>14.829</v>
      </c>
      <c r="D44" s="7">
        <v>11.497</v>
      </c>
    </row>
    <row r="45" spans="1:4" ht="15">
      <c r="A45" s="6">
        <v>62</v>
      </c>
      <c r="B45" s="6">
        <v>11.3684</v>
      </c>
      <c r="C45" s="7">
        <v>14.2105</v>
      </c>
      <c r="D45" s="7">
        <v>11.104</v>
      </c>
    </row>
    <row r="46" spans="1:4" ht="15">
      <c r="A46" s="6">
        <v>63</v>
      </c>
      <c r="B46" s="6">
        <v>10.8872</v>
      </c>
      <c r="C46" s="7">
        <v>13.609</v>
      </c>
      <c r="D46" s="7">
        <v>10.713</v>
      </c>
    </row>
    <row r="47" spans="1:4" ht="15">
      <c r="A47" s="6">
        <v>64</v>
      </c>
      <c r="B47" s="6">
        <v>10.4191</v>
      </c>
      <c r="C47" s="7">
        <v>13.0239</v>
      </c>
      <c r="D47" s="7">
        <v>10.327</v>
      </c>
    </row>
    <row r="48" spans="1:4" ht="15">
      <c r="A48" s="6">
        <v>65</v>
      </c>
      <c r="B48" s="6">
        <v>9.9636</v>
      </c>
      <c r="C48" s="7">
        <v>12.4549</v>
      </c>
      <c r="D48" s="7">
        <v>9.946</v>
      </c>
    </row>
    <row r="49" spans="1:4" ht="15">
      <c r="A49" s="6">
        <v>66</v>
      </c>
      <c r="B49" s="6">
        <v>9.5214</v>
      </c>
      <c r="C49" s="7">
        <v>11.9017</v>
      </c>
      <c r="D49" s="7">
        <v>9.57</v>
      </c>
    </row>
    <row r="50" spans="1:4" ht="15">
      <c r="A50" s="6">
        <v>67</v>
      </c>
      <c r="B50" s="6">
        <v>9.0914</v>
      </c>
      <c r="C50" s="7">
        <v>11.3643</v>
      </c>
      <c r="D50" s="7">
        <v>9.2</v>
      </c>
    </row>
    <row r="51" spans="1:4" ht="15">
      <c r="A51" s="6">
        <v>68</v>
      </c>
      <c r="B51" s="6">
        <v>8.6742</v>
      </c>
      <c r="C51" s="7">
        <v>10.5428</v>
      </c>
      <c r="D51" s="7">
        <v>8.836</v>
      </c>
    </row>
    <row r="52" spans="1:4" ht="15">
      <c r="A52" s="6">
        <v>69</v>
      </c>
      <c r="B52" s="6">
        <v>8.2697</v>
      </c>
      <c r="C52" s="7">
        <v>10.3371</v>
      </c>
      <c r="D52" s="7">
        <v>8.478</v>
      </c>
    </row>
    <row r="53" spans="1:4" ht="15">
      <c r="A53" s="6">
        <v>70</v>
      </c>
      <c r="B53" s="6">
        <v>7.8778</v>
      </c>
      <c r="C53" s="7">
        <v>9.8472</v>
      </c>
      <c r="D53" s="7">
        <v>8.127</v>
      </c>
    </row>
    <row r="54" spans="1:4" ht="15">
      <c r="A54" s="6">
        <v>71</v>
      </c>
      <c r="B54" s="6">
        <v>7.4983</v>
      </c>
      <c r="C54" s="7">
        <v>9.3729</v>
      </c>
      <c r="D54" s="7">
        <v>7.783</v>
      </c>
    </row>
    <row r="55" spans="1:4" ht="15">
      <c r="A55" s="6">
        <v>72</v>
      </c>
      <c r="B55" s="6">
        <v>7.1314</v>
      </c>
      <c r="C55" s="7">
        <v>8.9142</v>
      </c>
      <c r="D55" s="7">
        <v>7.448</v>
      </c>
    </row>
    <row r="56" spans="1:4" ht="15">
      <c r="A56" s="6">
        <v>73</v>
      </c>
      <c r="B56" s="6">
        <v>6.7766</v>
      </c>
      <c r="C56" s="7">
        <v>8.4708</v>
      </c>
      <c r="D56" s="7">
        <v>7.121</v>
      </c>
    </row>
    <row r="57" spans="1:4" ht="15">
      <c r="A57" s="6">
        <v>74</v>
      </c>
      <c r="B57" s="6">
        <v>6.4342</v>
      </c>
      <c r="C57" s="7">
        <v>8.0427</v>
      </c>
      <c r="D57" s="7">
        <v>6.802</v>
      </c>
    </row>
    <row r="58" spans="1:4" ht="15">
      <c r="A58" s="6">
        <v>75</v>
      </c>
      <c r="B58" s="6">
        <v>6.1039</v>
      </c>
      <c r="C58" s="7">
        <v>7.6299</v>
      </c>
      <c r="D58" s="7">
        <v>6.494</v>
      </c>
    </row>
    <row r="59" spans="1:4" ht="15">
      <c r="A59" s="6">
        <v>76</v>
      </c>
      <c r="B59" s="6">
        <v>5.7858</v>
      </c>
      <c r="C59" s="7">
        <v>7.2322</v>
      </c>
      <c r="D59" s="7">
        <v>6.194</v>
      </c>
    </row>
    <row r="60" spans="1:4" ht="15">
      <c r="A60" s="6">
        <v>77</v>
      </c>
      <c r="B60" s="6">
        <v>5.4797</v>
      </c>
      <c r="C60" s="7">
        <v>6.8496</v>
      </c>
      <c r="D60" s="7">
        <v>5.906</v>
      </c>
    </row>
    <row r="61" spans="1:4" ht="15">
      <c r="A61" s="6">
        <v>78</v>
      </c>
      <c r="B61" s="6">
        <v>5.1854</v>
      </c>
      <c r="C61" s="7">
        <v>6.4818</v>
      </c>
      <c r="D61" s="7">
        <v>5.627</v>
      </c>
    </row>
    <row r="62" spans="1:4" ht="15">
      <c r="A62" s="6">
        <v>79</v>
      </c>
      <c r="B62" s="6">
        <v>4.903</v>
      </c>
      <c r="C62" s="7">
        <v>6.1284</v>
      </c>
      <c r="D62" s="7">
        <v>5.364</v>
      </c>
    </row>
    <row r="63" spans="1:4" ht="15">
      <c r="A63" s="6">
        <v>80</v>
      </c>
      <c r="B63" s="6">
        <v>4.6321</v>
      </c>
      <c r="C63" s="7">
        <v>5.7901</v>
      </c>
      <c r="D63" s="7">
        <v>5.104</v>
      </c>
    </row>
    <row r="66" ht="15">
      <c r="I66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Zain</dc:creator>
  <cp:keywords/>
  <dc:description/>
  <cp:lastModifiedBy>MAA</cp:lastModifiedBy>
  <cp:lastPrinted>2015-01-20T13:37:40Z</cp:lastPrinted>
  <dcterms:created xsi:type="dcterms:W3CDTF">2015-01-19T16:41:54Z</dcterms:created>
  <dcterms:modified xsi:type="dcterms:W3CDTF">2015-01-27T16:50:02Z</dcterms:modified>
  <cp:category/>
  <cp:version/>
  <cp:contentType/>
  <cp:contentStatus/>
</cp:coreProperties>
</file>